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Магнитогорск Медицинский центр\"/>
    </mc:Choice>
  </mc:AlternateContent>
  <xr:revisionPtr revIDLastSave="0" documentId="13_ncr:1_{5FF7D49D-0FB4-428E-A55D-79AF5697E907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0" i="1" l="1"/>
  <c r="H36" i="1"/>
  <c r="H25" i="1"/>
  <c r="H29" i="1"/>
  <c r="F30" i="1"/>
  <c r="E30" i="1"/>
  <c r="F29" i="1"/>
  <c r="E29" i="1"/>
  <c r="H28" i="1"/>
  <c r="F28" i="1"/>
  <c r="E28" i="1"/>
  <c r="E27" i="1"/>
  <c r="F23" i="1"/>
  <c r="H23" i="1" s="1"/>
  <c r="E39" i="1"/>
  <c r="E38" i="1"/>
  <c r="E34" i="1"/>
  <c r="F32" i="1"/>
  <c r="F33" i="1" s="1"/>
  <c r="E26" i="1"/>
  <c r="E20" i="1"/>
  <c r="F24" i="1"/>
  <c r="H24" i="1" s="1"/>
  <c r="F35" i="1" l="1"/>
  <c r="F34" i="1"/>
  <c r="F53" i="1"/>
  <c r="F16" i="1" l="1"/>
  <c r="H53" i="1"/>
  <c r="H54" i="1" s="1"/>
  <c r="H55" i="1" s="1"/>
  <c r="F22" i="1" l="1"/>
  <c r="H22" i="1" s="1"/>
  <c r="H33" i="1"/>
  <c r="H34" i="1"/>
  <c r="F19" i="1"/>
  <c r="H19" i="1" s="1"/>
  <c r="F17" i="1"/>
  <c r="F20" i="1"/>
  <c r="F18" i="1"/>
  <c r="H18" i="1" s="1"/>
  <c r="F25" i="1"/>
  <c r="F21" i="1"/>
  <c r="H56" i="1"/>
  <c r="H57" i="1" s="1"/>
  <c r="F27" i="1" l="1"/>
  <c r="H27" i="1" s="1"/>
  <c r="F26" i="1"/>
  <c r="H26" i="1" s="1"/>
  <c r="H21" i="1"/>
  <c r="H30" i="1" l="1"/>
  <c r="G25" i="1" s="1"/>
  <c r="H35" i="1" l="1"/>
  <c r="H32" i="1" s="1"/>
  <c r="F37" i="1"/>
  <c r="F36" i="1"/>
  <c r="H20" i="1"/>
  <c r="G32" i="1" l="1"/>
  <c r="F38" i="1"/>
  <c r="H38" i="1" s="1"/>
  <c r="F39" i="1"/>
  <c r="H39" i="1" s="1"/>
  <c r="F40" i="1"/>
  <c r="H40" i="1" s="1"/>
  <c r="H17" i="1"/>
  <c r="H16" i="1" s="1"/>
  <c r="H37" i="1" l="1"/>
  <c r="H31" i="1" s="1"/>
  <c r="G31" i="1" s="1"/>
  <c r="H15" i="1"/>
  <c r="G16" i="1"/>
  <c r="H41" i="1" l="1"/>
  <c r="H42" i="1" s="1"/>
  <c r="G37" i="1"/>
  <c r="G15" i="1"/>
  <c r="H44" i="1" l="1"/>
  <c r="H43" i="1"/>
</calcChain>
</file>

<file path=xl/sharedStrings.xml><?xml version="1.0" encoding="utf-8"?>
<sst xmlns="http://schemas.openxmlformats.org/spreadsheetml/2006/main" count="89" uniqueCount="53">
  <si>
    <t>Расчет стоимости отделки фасада здания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</si>
  <si>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и проведения монтажных работ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</si>
  <si>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Общая площадь(кв.м.):</t>
  </si>
  <si>
    <t>Дата:</t>
  </si>
  <si>
    <t>№</t>
  </si>
  <si>
    <t>Название материала</t>
  </si>
  <si>
    <t>кол-во</t>
  </si>
  <si>
    <t>цена за ед.</t>
  </si>
  <si>
    <t>Стоимость</t>
  </si>
  <si>
    <t>Объект:</t>
  </si>
  <si>
    <t>шт.</t>
  </si>
  <si>
    <t>п/м</t>
  </si>
  <si>
    <t>коэф. на кв.м.</t>
  </si>
  <si>
    <t>ед. изм</t>
  </si>
  <si>
    <t>При необходимости, Вы можете приобрести дополнительные материалы и услуги:</t>
  </si>
  <si>
    <t>Название материала/услуги</t>
  </si>
  <si>
    <t>м2</t>
  </si>
  <si>
    <t>тел.: +7 (966) 240-66-88, e-mail: info@fssoyuz.ru, сайт: fssoyuz.ru</t>
  </si>
  <si>
    <t>В т.ч. НДС 22%:</t>
  </si>
  <si>
    <t>Итого с НДС 22%:</t>
  </si>
  <si>
    <t>Фасадный дюбель 10x100 (горячеоцинкованный)</t>
  </si>
  <si>
    <t>Ориентировочная стоимость доставки: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</si>
  <si>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</si>
  <si>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Проектирование НФС в соответствии с СП 522</t>
  </si>
  <si>
    <t>ед.изм</t>
  </si>
  <si>
    <t>цена за ед. без НДС</t>
  </si>
  <si>
    <t>Итого за проектирование:</t>
  </si>
  <si>
    <t>Итого за кв.м проектирования:</t>
  </si>
  <si>
    <t>Фасадная система Оцинкованная окрашенная</t>
  </si>
  <si>
    <t>Крепеж</t>
  </si>
  <si>
    <t>Саморез фасадный 4,8х16 мм, антикоррозийное покрытие</t>
  </si>
  <si>
    <t>Итого стоимость фасадной системы с крепежом:</t>
  </si>
  <si>
    <t>Итого стоимость фасадной системы с крепежом за 1 кв.м.:</t>
  </si>
  <si>
    <t>Заклепка фасадная 4,8х10 мм, A2/A2</t>
  </si>
  <si>
    <t>НДС 22% (при необходимости):</t>
  </si>
  <si>
    <t>Многопрофильный медицинский центр в городе Магнитогорске, в том числе проектно-изыскательские работы</t>
  </si>
  <si>
    <t>Фасадная система (оцинкованная окрашенная  перекрестная)</t>
  </si>
  <si>
    <t>Фасадная система для облицовки керамогранитом со скрытым креплением</t>
  </si>
  <si>
    <t>Кронштейн несущий КРУ 250 ОЦ ОК</t>
  </si>
  <si>
    <t>Кронштейн несущий КРУ 200 ОЦ ОК</t>
  </si>
  <si>
    <t>Кронштейн несущий КР 50 ОЦ ОК</t>
  </si>
  <si>
    <t>Паронитовая прокладка под кронштейн КРУ</t>
  </si>
  <si>
    <t>Профиль гнутый У 40х40х1,2 ОЦ ОК (L=3000)</t>
  </si>
  <si>
    <t>Профиль гнутый К 65х20х1,2 ОЦ ОК (L=3000)</t>
  </si>
  <si>
    <t>Фасадная система для облицовки терракотовыми панелями со скрытым креплением</t>
  </si>
  <si>
    <t>Планка горизонтальная ГН12</t>
  </si>
  <si>
    <t>Проектирование фасадной системы для облицовки керамогранитом и терракотовыми панелями</t>
  </si>
  <si>
    <t>Разработка рабочего проекта навесной фасадной системы для облицовки керамогранитом и терракотовыми панелями в соответствии с СП 522.1325800.2023</t>
  </si>
  <si>
    <t>Комлект кляммера "Краб" опорный</t>
  </si>
  <si>
    <t>Комплект кляммера "Краб" ветровой</t>
  </si>
  <si>
    <t>Заклепка фасадная 4,0х8 мм, A2/A2</t>
  </si>
  <si>
    <t>Винт М5х20 А2</t>
  </si>
  <si>
    <t>Гайка М5 А2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</si>
</sst>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1" fontId="9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2" fontId="9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14" fontId="7" fillId="0" borderId="0" xfId="0" applyNumberFormat="1" applyFont="1" applyAlignment="1">
      <alignment horizontal="center"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 applyProtection="1">
      <alignment horizontal="left" vertical="center" wrapText="1"/>
      <protection locked="0"/>
    </xf>
    <xf numFmtId="0" fontId="19" fillId="0" borderId="0" xfId="0" applyFont="1" applyAlignment="1">
      <alignment horizontal="right"/>
    </xf>
    <xf numFmtId="164" fontId="8" fillId="2" borderId="12" xfId="0" applyNumberFormat="1" applyFont="1" applyFill="1" applyBorder="1" applyAlignment="1">
      <alignment vertical="center"/>
    </xf>
    <xf numFmtId="0" fontId="9" fillId="0" borderId="5" xfId="2" applyFont="1" applyBorder="1" applyAlignment="1" applyProtection="1">
      <alignment horizontal="left" vertical="center" wrapText="1"/>
      <protection locked="0"/>
    </xf>
    <xf numFmtId="44" fontId="9" fillId="0" borderId="5" xfId="1" applyFont="1" applyBorder="1" applyAlignment="1" applyProtection="1">
      <alignment horizontal="right" vertical="center" wrapText="1"/>
      <protection locked="0"/>
    </xf>
    <xf numFmtId="164" fontId="20" fillId="0" borderId="5" xfId="1" applyNumberFormat="1" applyFont="1" applyFill="1" applyBorder="1" applyAlignment="1">
      <alignment vertical="center"/>
    </xf>
    <xf numFmtId="164" fontId="20" fillId="0" borderId="5" xfId="0" applyNumberFormat="1" applyFont="1" applyBorder="1" applyAlignment="1">
      <alignment vertical="center"/>
    </xf>
    <xf numFmtId="49" fontId="5" fillId="0" borderId="17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18" xfId="0" applyNumberFormat="1" applyFont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horizontal="center" vertical="center" wrapText="1"/>
    </xf>
    <xf numFmtId="164" fontId="10" fillId="3" borderId="18" xfId="0" applyNumberFormat="1" applyFont="1" applyFill="1" applyBorder="1" applyAlignment="1">
      <alignment vertical="center" wrapText="1"/>
    </xf>
    <xf numFmtId="0" fontId="9" fillId="0" borderId="4" xfId="0" applyFont="1" applyBorder="1" applyAlignment="1" applyProtection="1">
      <alignment horizontal="center" vertical="center" wrapText="1"/>
      <protection locked="0"/>
    </xf>
    <xf numFmtId="2" fontId="9" fillId="0" borderId="4" xfId="0" applyNumberFormat="1" applyFont="1" applyBorder="1" applyAlignment="1" applyProtection="1">
      <alignment horizontal="center" vertical="center" wrapText="1"/>
      <protection locked="0"/>
    </xf>
    <xf numFmtId="0" fontId="11" fillId="4" borderId="7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vertical="center" wrapText="1"/>
    </xf>
    <xf numFmtId="2" fontId="11" fillId="4" borderId="7" xfId="0" applyNumberFormat="1" applyFont="1" applyFill="1" applyBorder="1" applyAlignment="1">
      <alignment horizontal="center" vertical="center" wrapText="1"/>
    </xf>
    <xf numFmtId="164" fontId="11" fillId="4" borderId="8" xfId="0" applyNumberFormat="1" applyFont="1" applyFill="1" applyBorder="1" applyAlignment="1">
      <alignment vertical="center" wrapText="1"/>
    </xf>
    <xf numFmtId="0" fontId="13" fillId="0" borderId="5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 applyProtection="1">
      <alignment horizontal="left" vertical="center" wrapText="1"/>
      <protection locked="0"/>
    </xf>
    <xf numFmtId="0" fontId="9" fillId="0" borderId="21" xfId="0" applyFont="1" applyBorder="1" applyAlignment="1" applyProtection="1">
      <alignment horizontal="center" vertical="center" wrapText="1"/>
      <protection locked="0"/>
    </xf>
    <xf numFmtId="2" fontId="9" fillId="0" borderId="21" xfId="0" applyNumberFormat="1" applyFont="1" applyBorder="1" applyAlignment="1" applyProtection="1">
      <alignment horizontal="center" vertical="center" wrapText="1"/>
      <protection locked="0"/>
    </xf>
    <xf numFmtId="1" fontId="9" fillId="0" borderId="21" xfId="0" applyNumberFormat="1" applyFont="1" applyBorder="1" applyAlignment="1" applyProtection="1">
      <alignment horizontal="center" vertical="center" wrapText="1"/>
      <protection locked="0"/>
    </xf>
    <xf numFmtId="164" fontId="9" fillId="0" borderId="22" xfId="1" applyNumberFormat="1" applyFont="1" applyBorder="1" applyAlignment="1" applyProtection="1">
      <alignment horizontal="right" vertical="center" wrapText="1"/>
      <protection locked="0"/>
    </xf>
    <xf numFmtId="0" fontId="9" fillId="0" borderId="14" xfId="0" applyFont="1" applyBorder="1" applyAlignment="1">
      <alignment horizontal="center" vertical="center" wrapText="1"/>
    </xf>
    <xf numFmtId="164" fontId="9" fillId="0" borderId="15" xfId="1" applyNumberFormat="1" applyFont="1" applyBorder="1" applyAlignment="1" applyProtection="1">
      <alignment horizontal="right" vertical="center" wrapText="1"/>
      <protection locked="0"/>
    </xf>
    <xf numFmtId="44" fontId="9" fillId="0" borderId="15" xfId="1" applyFont="1" applyBorder="1" applyAlignment="1" applyProtection="1">
      <alignment horizontal="right" vertical="center" wrapText="1"/>
      <protection locked="0"/>
    </xf>
    <xf numFmtId="0" fontId="13" fillId="0" borderId="13" xfId="0" applyFont="1" applyBorder="1" applyAlignment="1">
      <alignment horizontal="left" vertical="center" wrapText="1"/>
    </xf>
    <xf numFmtId="44" fontId="9" fillId="0" borderId="16" xfId="1" applyFont="1" applyBorder="1" applyAlignment="1" applyProtection="1">
      <alignment horizontal="right" vertical="center" wrapText="1"/>
      <protection locked="0"/>
    </xf>
    <xf numFmtId="4" fontId="10" fillId="3" borderId="9" xfId="0" applyNumberFormat="1" applyFont="1" applyFill="1" applyBorder="1" applyAlignment="1">
      <alignment horizontal="center" vertical="center" wrapText="1"/>
    </xf>
    <xf numFmtId="4" fontId="11" fillId="4" borderId="7" xfId="0" applyNumberFormat="1" applyFont="1" applyFill="1" applyBorder="1" applyAlignment="1">
      <alignment horizontal="center" vertical="center" wrapText="1"/>
    </xf>
    <xf numFmtId="1" fontId="9" fillId="0" borderId="5" xfId="0" applyNumberFormat="1" applyFont="1" applyBorder="1" applyAlignment="1" applyProtection="1">
      <alignment horizontal="center" vertical="center" wrapText="1"/>
      <protection locked="0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1" xfId="2" applyFont="1" applyBorder="1" applyAlignment="1" applyProtection="1">
      <alignment horizontal="left" vertical="center" wrapText="1"/>
      <protection locked="0"/>
    </xf>
    <xf numFmtId="0" fontId="9" fillId="0" borderId="4" xfId="2" applyFont="1" applyBorder="1" applyAlignment="1" applyProtection="1">
      <alignment horizontal="left" vertical="center" wrapText="1"/>
      <protection locked="0"/>
    </xf>
    <xf numFmtId="2" fontId="9" fillId="0" borderId="25" xfId="0" applyNumberFormat="1" applyFont="1" applyBorder="1" applyAlignment="1" applyProtection="1">
      <alignment horizontal="center" vertical="center" wrapText="1"/>
      <protection locked="0"/>
    </xf>
    <xf numFmtId="2" fontId="9" fillId="0" borderId="26" xfId="0" applyNumberFormat="1" applyFont="1" applyBorder="1" applyAlignment="1" applyProtection="1">
      <alignment horizontal="center" vertical="center" wrapText="1"/>
      <protection locked="0"/>
    </xf>
    <xf numFmtId="44" fontId="9" fillId="0" borderId="22" xfId="1" applyFont="1" applyBorder="1" applyAlignment="1" applyProtection="1">
      <alignment horizontal="right" vertical="center" wrapText="1"/>
      <protection locked="0"/>
    </xf>
    <xf numFmtId="44" fontId="9" fillId="0" borderId="19" xfId="1" applyFont="1" applyBorder="1" applyAlignment="1" applyProtection="1">
      <alignment horizontal="right" vertical="center" wrapText="1"/>
      <protection locked="0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0" xfId="0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right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2" fontId="20" fillId="0" borderId="5" xfId="0" applyNumberFormat="1" applyFont="1" applyBorder="1" applyAlignment="1">
      <alignment horizontal="right" vertical="center"/>
    </xf>
    <xf numFmtId="49" fontId="15" fillId="0" borderId="5" xfId="0" applyNumberFormat="1" applyFont="1" applyBorder="1" applyAlignment="1">
      <alignment horizontal="center" vertical="center"/>
    </xf>
    <xf numFmtId="0" fontId="13" fillId="0" borderId="27" xfId="0" applyFont="1" applyBorder="1" applyAlignment="1">
      <alignment horizontal="left" vertical="center" wrapText="1"/>
    </xf>
    <xf numFmtId="44" fontId="9" fillId="0" borderId="28" xfId="1" applyFont="1" applyBorder="1" applyAlignment="1" applyProtection="1">
      <alignment horizontal="right" vertical="center" wrapText="1"/>
      <protection locked="0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8</xdr:row>
      <xdr:rowOff>185849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57"/>
  <sheetViews>
    <sheetView tabSelected="1" view="pageBreakPreview" topLeftCell="A13" zoomScaleNormal="100" zoomScaleSheetLayoutView="100" workbookViewId="0">
      <selection activeCell="H46" sqref="H46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8.21875" bestFit="1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70" t="s">
        <v>22</v>
      </c>
      <c r="C2" s="70"/>
      <c r="D2" s="70"/>
      <c r="E2" s="70"/>
      <c r="F2" s="70"/>
      <c r="G2" s="70"/>
      <c r="H2" s="70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72" t="s">
        <v>0</v>
      </c>
      <c r="C4" s="72"/>
      <c r="D4" s="72"/>
      <c r="E4" s="72"/>
      <c r="F4" s="72"/>
      <c r="G4" s="72"/>
      <c r="H4" s="72"/>
      <c r="I4" s="1"/>
    </row>
    <row r="5" spans="1:9" ht="75.75" customHeight="1" x14ac:dyDescent="0.3">
      <c r="A5" s="1"/>
      <c r="B5" s="73" t="s">
        <v>1</v>
      </c>
      <c r="C5" s="73"/>
      <c r="D5" s="73"/>
      <c r="E5" s="73"/>
      <c r="F5" s="73"/>
      <c r="G5" s="73"/>
      <c r="H5" s="73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2</v>
      </c>
      <c r="F7" s="76">
        <v>13374.7</v>
      </c>
      <c r="G7" s="77"/>
      <c r="H7" s="78"/>
      <c r="I7" s="1"/>
    </row>
    <row r="8" spans="1:9" ht="45" customHeight="1" thickBot="1" x14ac:dyDescent="0.35">
      <c r="A8" s="1"/>
      <c r="B8" s="4"/>
      <c r="C8" s="5"/>
      <c r="D8" s="1"/>
      <c r="E8" s="6" t="s">
        <v>9</v>
      </c>
      <c r="F8" s="79" t="s">
        <v>35</v>
      </c>
      <c r="G8" s="80"/>
      <c r="H8" s="81"/>
      <c r="I8" s="1"/>
    </row>
    <row r="9" spans="1:9" ht="15" thickBot="1" x14ac:dyDescent="0.35">
      <c r="A9" s="1"/>
      <c r="B9" s="93"/>
      <c r="C9" s="93"/>
      <c r="D9" s="9"/>
      <c r="E9" s="10" t="s">
        <v>3</v>
      </c>
      <c r="F9" s="82">
        <v>46272</v>
      </c>
      <c r="G9" s="83"/>
      <c r="H9" s="84"/>
      <c r="I9" s="1"/>
    </row>
    <row r="10" spans="1:9" x14ac:dyDescent="0.3">
      <c r="A10" s="1"/>
      <c r="B10" s="7"/>
      <c r="C10" s="8"/>
      <c r="D10" s="9"/>
      <c r="E10" s="10"/>
      <c r="F10" s="21"/>
      <c r="G10" s="21"/>
      <c r="H10" s="21"/>
      <c r="I10" s="1"/>
    </row>
    <row r="11" spans="1:9" x14ac:dyDescent="0.3">
      <c r="A11" s="1"/>
      <c r="B11" s="85" t="s">
        <v>17</v>
      </c>
      <c r="C11" s="85"/>
      <c r="D11" s="85"/>
      <c r="E11" s="85"/>
      <c r="F11" s="85"/>
      <c r="G11" s="85"/>
      <c r="H11" s="85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87" t="s">
        <v>36</v>
      </c>
      <c r="C13" s="88"/>
      <c r="D13" s="88"/>
      <c r="E13" s="88"/>
      <c r="F13" s="88"/>
      <c r="G13" s="88"/>
      <c r="H13" s="88"/>
      <c r="I13" s="1"/>
    </row>
    <row r="14" spans="1:9" ht="28.2" thickBot="1" x14ac:dyDescent="0.35">
      <c r="A14" s="1"/>
      <c r="B14" s="33" t="s">
        <v>4</v>
      </c>
      <c r="C14" s="34" t="s">
        <v>5</v>
      </c>
      <c r="D14" s="35" t="s">
        <v>13</v>
      </c>
      <c r="E14" s="35" t="s">
        <v>12</v>
      </c>
      <c r="F14" s="35" t="s">
        <v>6</v>
      </c>
      <c r="G14" s="35" t="s">
        <v>7</v>
      </c>
      <c r="H14" s="36" t="s">
        <v>8</v>
      </c>
      <c r="I14" s="1"/>
    </row>
    <row r="15" spans="1:9" ht="30" customHeight="1" thickBot="1" x14ac:dyDescent="0.35">
      <c r="A15" s="1"/>
      <c r="B15" s="94" t="s">
        <v>37</v>
      </c>
      <c r="C15" s="95"/>
      <c r="D15" s="37" t="s">
        <v>16</v>
      </c>
      <c r="E15" s="38"/>
      <c r="F15" s="39">
        <v>12197.3</v>
      </c>
      <c r="G15" s="59">
        <f>H15/F15</f>
        <v>3724.7036401498694</v>
      </c>
      <c r="H15" s="40">
        <f>H16+H25</f>
        <v>45431327.710000001</v>
      </c>
      <c r="I15" s="1"/>
    </row>
    <row r="16" spans="1:9" ht="15.75" customHeight="1" thickBot="1" x14ac:dyDescent="0.35">
      <c r="A16" s="1"/>
      <c r="B16" s="91" t="s">
        <v>28</v>
      </c>
      <c r="C16" s="92"/>
      <c r="D16" s="43" t="s">
        <v>16</v>
      </c>
      <c r="E16" s="44"/>
      <c r="F16" s="45">
        <f>F15</f>
        <v>12197.3</v>
      </c>
      <c r="G16" s="60">
        <f>H16/F16</f>
        <v>3441.5147376878494</v>
      </c>
      <c r="H16" s="46">
        <f>SUM(H17:H24)</f>
        <v>41977187.710000001</v>
      </c>
      <c r="I16" s="1"/>
    </row>
    <row r="17" spans="1:9" x14ac:dyDescent="0.3">
      <c r="A17" s="1"/>
      <c r="B17" s="62">
        <v>1</v>
      </c>
      <c r="C17" s="64" t="s">
        <v>38</v>
      </c>
      <c r="D17" s="41" t="s">
        <v>10</v>
      </c>
      <c r="E17" s="42">
        <v>2.93</v>
      </c>
      <c r="F17" s="14">
        <f>ROUNDUP(E17*F$16,0)</f>
        <v>35739</v>
      </c>
      <c r="G17" s="66">
        <v>111.79</v>
      </c>
      <c r="H17" s="68">
        <f>F17*G17</f>
        <v>3995262.81</v>
      </c>
      <c r="I17" s="1"/>
    </row>
    <row r="18" spans="1:9" x14ac:dyDescent="0.3">
      <c r="A18" s="1"/>
      <c r="B18" s="62">
        <v>2</v>
      </c>
      <c r="C18" s="65" t="s">
        <v>39</v>
      </c>
      <c r="D18" s="41" t="s">
        <v>10</v>
      </c>
      <c r="E18" s="42">
        <v>0.99199999999999999</v>
      </c>
      <c r="F18" s="14">
        <f t="shared" ref="F18:F20" si="0">ROUNDUP(E18*F$16,0)</f>
        <v>12100</v>
      </c>
      <c r="G18" s="66">
        <v>99.04</v>
      </c>
      <c r="H18" s="69">
        <f t="shared" ref="H18:H19" si="1">F18*G18</f>
        <v>1198384</v>
      </c>
      <c r="I18" s="1"/>
    </row>
    <row r="19" spans="1:9" x14ac:dyDescent="0.3">
      <c r="A19" s="1"/>
      <c r="B19" s="62">
        <v>3</v>
      </c>
      <c r="C19" s="65" t="s">
        <v>40</v>
      </c>
      <c r="D19" s="41" t="s">
        <v>10</v>
      </c>
      <c r="E19" s="42">
        <v>0.222</v>
      </c>
      <c r="F19" s="14">
        <f t="shared" si="0"/>
        <v>2708</v>
      </c>
      <c r="G19" s="66">
        <v>46.01</v>
      </c>
      <c r="H19" s="69">
        <f t="shared" si="1"/>
        <v>124595.08</v>
      </c>
      <c r="I19" s="1"/>
    </row>
    <row r="20" spans="1:9" x14ac:dyDescent="0.3">
      <c r="A20" s="1"/>
      <c r="B20" s="63">
        <v>4</v>
      </c>
      <c r="C20" s="47" t="s">
        <v>41</v>
      </c>
      <c r="D20" s="15" t="s">
        <v>10</v>
      </c>
      <c r="E20" s="16">
        <f>E17+E18</f>
        <v>3.9220000000000002</v>
      </c>
      <c r="F20" s="14">
        <f t="shared" si="0"/>
        <v>47838</v>
      </c>
      <c r="G20" s="67">
        <v>12.05</v>
      </c>
      <c r="H20" s="56">
        <f t="shared" ref="H20:H24" si="2">F20*G20</f>
        <v>576447.9</v>
      </c>
      <c r="I20" s="1"/>
    </row>
    <row r="21" spans="1:9" x14ac:dyDescent="0.3">
      <c r="A21" s="1"/>
      <c r="B21" s="63">
        <v>5</v>
      </c>
      <c r="C21" s="47" t="s">
        <v>42</v>
      </c>
      <c r="D21" s="15" t="s">
        <v>11</v>
      </c>
      <c r="E21" s="16">
        <v>1.9690000000000001</v>
      </c>
      <c r="F21" s="61">
        <f>ROUNDUP(E21*F16/3,0)*3</f>
        <v>24018</v>
      </c>
      <c r="G21" s="67">
        <v>119.92</v>
      </c>
      <c r="H21" s="56">
        <f t="shared" si="2"/>
        <v>2880238.56</v>
      </c>
      <c r="I21" s="1"/>
    </row>
    <row r="22" spans="1:9" x14ac:dyDescent="0.3">
      <c r="A22" s="1"/>
      <c r="B22" s="63">
        <v>6</v>
      </c>
      <c r="C22" s="47" t="s">
        <v>43</v>
      </c>
      <c r="D22" s="15" t="s">
        <v>11</v>
      </c>
      <c r="E22" s="16">
        <v>2.7069999999999999</v>
      </c>
      <c r="F22" s="61">
        <f>ROUNDUP(E22*F16/3,0)*3</f>
        <v>33021</v>
      </c>
      <c r="G22" s="67">
        <v>197.76</v>
      </c>
      <c r="H22" s="56">
        <f t="shared" si="2"/>
        <v>6530232.96</v>
      </c>
      <c r="I22" s="1"/>
    </row>
    <row r="23" spans="1:9" x14ac:dyDescent="0.3">
      <c r="A23" s="1"/>
      <c r="B23" s="63">
        <v>7</v>
      </c>
      <c r="C23" s="99" t="s">
        <v>48</v>
      </c>
      <c r="D23" s="15" t="s">
        <v>10</v>
      </c>
      <c r="E23" s="16">
        <v>3.7629999999999999</v>
      </c>
      <c r="F23" s="61">
        <f>ROUNDUP(E23*F15,0)</f>
        <v>45899</v>
      </c>
      <c r="G23" s="67">
        <v>234.27</v>
      </c>
      <c r="H23" s="100">
        <f t="shared" si="2"/>
        <v>10752758.73</v>
      </c>
      <c r="I23" s="1"/>
    </row>
    <row r="24" spans="1:9" ht="15" thickBot="1" x14ac:dyDescent="0.35">
      <c r="A24" s="1"/>
      <c r="B24" s="63">
        <v>8</v>
      </c>
      <c r="C24" s="57" t="s">
        <v>49</v>
      </c>
      <c r="D24" s="15" t="s">
        <v>10</v>
      </c>
      <c r="E24" s="16">
        <v>6.1449999999999996</v>
      </c>
      <c r="F24" s="61">
        <f>ROUNDUP(E24*F15,0)</f>
        <v>74953</v>
      </c>
      <c r="G24" s="67">
        <v>212.39</v>
      </c>
      <c r="H24" s="58">
        <f t="shared" si="2"/>
        <v>15919267.669999998</v>
      </c>
      <c r="I24" s="1"/>
    </row>
    <row r="25" spans="1:9" ht="15" thickBot="1" x14ac:dyDescent="0.35">
      <c r="A25" s="1"/>
      <c r="B25" s="91" t="s">
        <v>29</v>
      </c>
      <c r="C25" s="92"/>
      <c r="D25" s="43" t="s">
        <v>16</v>
      </c>
      <c r="E25" s="44"/>
      <c r="F25" s="45">
        <f>F16</f>
        <v>12197.3</v>
      </c>
      <c r="G25" s="60">
        <f>H25/F25</f>
        <v>283.18890246202028</v>
      </c>
      <c r="H25" s="46">
        <f>SUM(H26:H30)</f>
        <v>3454140</v>
      </c>
      <c r="I25" s="1"/>
    </row>
    <row r="26" spans="1:9" x14ac:dyDescent="0.3">
      <c r="A26" s="1"/>
      <c r="B26" s="48">
        <v>1</v>
      </c>
      <c r="C26" s="49" t="s">
        <v>20</v>
      </c>
      <c r="D26" s="50" t="s">
        <v>10</v>
      </c>
      <c r="E26" s="51">
        <f>E17+E18+E19</f>
        <v>4.1440000000000001</v>
      </c>
      <c r="F26" s="52">
        <f>ROUNDUP(E26*F25/200,0)*200</f>
        <v>50600</v>
      </c>
      <c r="G26" s="51">
        <v>27.5</v>
      </c>
      <c r="H26" s="53">
        <f>F26*G26</f>
        <v>1391500</v>
      </c>
      <c r="I26" s="1"/>
    </row>
    <row r="27" spans="1:9" x14ac:dyDescent="0.3">
      <c r="A27" s="1"/>
      <c r="B27" s="54">
        <v>2</v>
      </c>
      <c r="C27" s="26" t="s">
        <v>30</v>
      </c>
      <c r="D27" s="15" t="s">
        <v>10</v>
      </c>
      <c r="E27" s="16">
        <f>(E17+E18+E19)*2+E22/0.6*2</f>
        <v>17.311333333333334</v>
      </c>
      <c r="F27" s="14">
        <f>ROUNDUP(E27*F25/1000,0)*1000</f>
        <v>212000</v>
      </c>
      <c r="G27" s="16">
        <v>4.9000000000000004</v>
      </c>
      <c r="H27" s="55">
        <f>F27*G27</f>
        <v>1038800.0000000001</v>
      </c>
      <c r="I27" s="1"/>
    </row>
    <row r="28" spans="1:9" x14ac:dyDescent="0.3">
      <c r="A28" s="1"/>
      <c r="B28" s="54">
        <v>3</v>
      </c>
      <c r="C28" s="47" t="s">
        <v>50</v>
      </c>
      <c r="D28" s="15" t="s">
        <v>10</v>
      </c>
      <c r="E28" s="16">
        <f>(E23+E24)*2</f>
        <v>19.815999999999999</v>
      </c>
      <c r="F28" s="14">
        <f>ROUNDUP(E28*F25/1000,0)*1000</f>
        <v>242000</v>
      </c>
      <c r="G28" s="16">
        <v>2.75</v>
      </c>
      <c r="H28" s="55">
        <f>F28*G28</f>
        <v>665500</v>
      </c>
      <c r="I28" s="1"/>
    </row>
    <row r="29" spans="1:9" x14ac:dyDescent="0.3">
      <c r="A29" s="1"/>
      <c r="B29" s="54">
        <v>4</v>
      </c>
      <c r="C29" s="26" t="s">
        <v>51</v>
      </c>
      <c r="D29" s="15" t="s">
        <v>10</v>
      </c>
      <c r="E29" s="16">
        <f>E23</f>
        <v>3.7629999999999999</v>
      </c>
      <c r="F29" s="14">
        <f>ROUNDUP(E29*F25/1000,0)*1000</f>
        <v>46000</v>
      </c>
      <c r="G29" s="16">
        <v>5.29</v>
      </c>
      <c r="H29" s="55">
        <f>F29*G29</f>
        <v>243340</v>
      </c>
      <c r="I29" s="1"/>
    </row>
    <row r="30" spans="1:9" ht="15" thickBot="1" x14ac:dyDescent="0.35">
      <c r="A30" s="1"/>
      <c r="B30" s="54">
        <v>5</v>
      </c>
      <c r="C30" s="47" t="s">
        <v>52</v>
      </c>
      <c r="D30" s="15" t="s">
        <v>10</v>
      </c>
      <c r="E30" s="16">
        <f>E29</f>
        <v>3.7629999999999999</v>
      </c>
      <c r="F30" s="14">
        <f>ROUNDUP(E30*F25/1000,0)*1000</f>
        <v>46000</v>
      </c>
      <c r="G30" s="16">
        <v>2.5</v>
      </c>
      <c r="H30" s="56">
        <f t="shared" ref="H30" si="3">F30*G30</f>
        <v>115000</v>
      </c>
      <c r="I30" s="1"/>
    </row>
    <row r="31" spans="1:9" ht="30" customHeight="1" thickBot="1" x14ac:dyDescent="0.35">
      <c r="A31" s="1"/>
      <c r="B31" s="94" t="s">
        <v>44</v>
      </c>
      <c r="C31" s="95"/>
      <c r="D31" s="37" t="s">
        <v>16</v>
      </c>
      <c r="E31" s="38"/>
      <c r="F31" s="39">
        <v>1177.4000000000001</v>
      </c>
      <c r="G31" s="59">
        <f>H31/F31</f>
        <v>1558.8679972821469</v>
      </c>
      <c r="H31" s="40">
        <f>H32+H37</f>
        <v>1835411.18</v>
      </c>
      <c r="I31" s="1"/>
    </row>
    <row r="32" spans="1:9" ht="15" thickBot="1" x14ac:dyDescent="0.35">
      <c r="A32" s="1"/>
      <c r="B32" s="91" t="s">
        <v>28</v>
      </c>
      <c r="C32" s="92"/>
      <c r="D32" s="43" t="s">
        <v>16</v>
      </c>
      <c r="E32" s="44"/>
      <c r="F32" s="45">
        <f>F31</f>
        <v>1177.4000000000001</v>
      </c>
      <c r="G32" s="60">
        <f>H32/F32</f>
        <v>1341.227433327671</v>
      </c>
      <c r="H32" s="46">
        <f>SUM(H33:H36)</f>
        <v>1579161.18</v>
      </c>
      <c r="I32" s="1"/>
    </row>
    <row r="33" spans="1:9" x14ac:dyDescent="0.3">
      <c r="A33" s="1"/>
      <c r="B33" s="62">
        <v>1</v>
      </c>
      <c r="C33" s="64" t="s">
        <v>39</v>
      </c>
      <c r="D33" s="41" t="s">
        <v>10</v>
      </c>
      <c r="E33" s="42">
        <v>4.2409999999999997</v>
      </c>
      <c r="F33" s="14">
        <f>ROUNDUP(E33*F$32,0)</f>
        <v>4994</v>
      </c>
      <c r="G33" s="66">
        <v>99.04</v>
      </c>
      <c r="H33" s="68">
        <f>F33*G33</f>
        <v>494605.76</v>
      </c>
      <c r="I33" s="1"/>
    </row>
    <row r="34" spans="1:9" x14ac:dyDescent="0.3">
      <c r="A34" s="1"/>
      <c r="B34" s="63">
        <v>2</v>
      </c>
      <c r="C34" s="47" t="s">
        <v>41</v>
      </c>
      <c r="D34" s="15" t="s">
        <v>10</v>
      </c>
      <c r="E34" s="16">
        <f>E33</f>
        <v>4.2409999999999997</v>
      </c>
      <c r="F34" s="14">
        <f>ROUNDUP(E34*F$32,0)</f>
        <v>4994</v>
      </c>
      <c r="G34" s="67">
        <v>12.05</v>
      </c>
      <c r="H34" s="56">
        <f t="shared" ref="H34:H36" si="4">F34*G34</f>
        <v>60177.700000000004</v>
      </c>
      <c r="I34" s="1"/>
    </row>
    <row r="35" spans="1:9" x14ac:dyDescent="0.3">
      <c r="A35" s="1"/>
      <c r="B35" s="63">
        <v>3</v>
      </c>
      <c r="C35" s="47" t="s">
        <v>42</v>
      </c>
      <c r="D35" s="15" t="s">
        <v>11</v>
      </c>
      <c r="E35" s="16">
        <v>2.0939999999999999</v>
      </c>
      <c r="F35" s="61">
        <f>ROUNDUP(E35*F32/3,0)*3</f>
        <v>2466</v>
      </c>
      <c r="G35" s="67">
        <v>119.92</v>
      </c>
      <c r="H35" s="56">
        <f t="shared" si="4"/>
        <v>295722.72000000003</v>
      </c>
      <c r="I35" s="1"/>
    </row>
    <row r="36" spans="1:9" ht="15" thickBot="1" x14ac:dyDescent="0.35">
      <c r="A36" s="1"/>
      <c r="B36" s="63">
        <v>4</v>
      </c>
      <c r="C36" s="47" t="s">
        <v>45</v>
      </c>
      <c r="D36" s="15" t="s">
        <v>11</v>
      </c>
      <c r="E36" s="16">
        <v>3.9489999999999998</v>
      </c>
      <c r="F36" s="61">
        <f>ROUNDUP(E36*F32/3,0)*3</f>
        <v>4650</v>
      </c>
      <c r="G36" s="67">
        <v>156.69999999999999</v>
      </c>
      <c r="H36" s="56">
        <f t="shared" si="4"/>
        <v>728655</v>
      </c>
      <c r="I36" s="1"/>
    </row>
    <row r="37" spans="1:9" ht="15" thickBot="1" x14ac:dyDescent="0.35">
      <c r="A37" s="1"/>
      <c r="B37" s="91" t="s">
        <v>29</v>
      </c>
      <c r="C37" s="92"/>
      <c r="D37" s="43" t="s">
        <v>16</v>
      </c>
      <c r="E37" s="44"/>
      <c r="F37" s="45">
        <f>F32</f>
        <v>1177.4000000000001</v>
      </c>
      <c r="G37" s="60">
        <f>H37/F37</f>
        <v>217.64056395447594</v>
      </c>
      <c r="H37" s="46">
        <f>SUM(H38:H40)</f>
        <v>256250</v>
      </c>
      <c r="I37" s="1"/>
    </row>
    <row r="38" spans="1:9" x14ac:dyDescent="0.3">
      <c r="A38" s="1"/>
      <c r="B38" s="48">
        <v>1</v>
      </c>
      <c r="C38" s="49" t="s">
        <v>20</v>
      </c>
      <c r="D38" s="50" t="s">
        <v>10</v>
      </c>
      <c r="E38" s="51">
        <f>E33</f>
        <v>4.2409999999999997</v>
      </c>
      <c r="F38" s="52">
        <f>ROUNDUP(E38*F37/200,0)*200</f>
        <v>5000</v>
      </c>
      <c r="G38" s="51">
        <v>27.5</v>
      </c>
      <c r="H38" s="53">
        <f>F38*G38</f>
        <v>137500</v>
      </c>
      <c r="I38" s="1"/>
    </row>
    <row r="39" spans="1:9" x14ac:dyDescent="0.3">
      <c r="A39" s="1"/>
      <c r="B39" s="54">
        <v>2</v>
      </c>
      <c r="C39" s="26" t="s">
        <v>30</v>
      </c>
      <c r="D39" s="15" t="s">
        <v>10</v>
      </c>
      <c r="E39" s="16">
        <f>(E33)*2</f>
        <v>8.4819999999999993</v>
      </c>
      <c r="F39" s="14">
        <f>ROUNDUP(E39*F37/1000,0)*1000</f>
        <v>10000</v>
      </c>
      <c r="G39" s="16">
        <v>4.9000000000000004</v>
      </c>
      <c r="H39" s="55">
        <f>F39*G39</f>
        <v>49000</v>
      </c>
      <c r="I39" s="1"/>
    </row>
    <row r="40" spans="1:9" x14ac:dyDescent="0.3">
      <c r="A40" s="1"/>
      <c r="B40" s="54">
        <v>3</v>
      </c>
      <c r="C40" s="47" t="s">
        <v>33</v>
      </c>
      <c r="D40" s="15" t="s">
        <v>10</v>
      </c>
      <c r="E40" s="16">
        <f>E36/0.6*2</f>
        <v>13.163333333333334</v>
      </c>
      <c r="F40" s="61">
        <f>ROUNDUP(E40*F37/500,0)*500</f>
        <v>15500</v>
      </c>
      <c r="G40" s="16">
        <v>4.5</v>
      </c>
      <c r="H40" s="56">
        <f t="shared" ref="H40" si="5">F40*G40</f>
        <v>69750</v>
      </c>
      <c r="I40" s="1"/>
    </row>
    <row r="41" spans="1:9" ht="18.600000000000001" thickBot="1" x14ac:dyDescent="0.35">
      <c r="A41" s="1"/>
      <c r="B41" s="74" t="s">
        <v>31</v>
      </c>
      <c r="C41" s="75"/>
      <c r="D41" s="75"/>
      <c r="E41" s="75"/>
      <c r="F41" s="75"/>
      <c r="G41" s="75"/>
      <c r="H41" s="28">
        <f>H15+H31</f>
        <v>47266738.890000001</v>
      </c>
      <c r="I41" s="1"/>
    </row>
    <row r="42" spans="1:9" ht="18.600000000000001" thickBot="1" x14ac:dyDescent="0.35">
      <c r="A42" s="1"/>
      <c r="B42" s="89" t="s">
        <v>32</v>
      </c>
      <c r="C42" s="90"/>
      <c r="D42" s="90"/>
      <c r="E42" s="90"/>
      <c r="F42" s="90"/>
      <c r="G42" s="90"/>
      <c r="H42" s="22">
        <f>H41/(F7)</f>
        <v>3534.0410543787898</v>
      </c>
      <c r="I42" s="1"/>
    </row>
    <row r="43" spans="1:9" x14ac:dyDescent="0.3">
      <c r="A43" s="1"/>
      <c r="B43" s="86"/>
      <c r="C43" s="86"/>
      <c r="D43" s="86"/>
      <c r="E43" s="17"/>
      <c r="F43" s="17"/>
      <c r="G43" s="6" t="s">
        <v>18</v>
      </c>
      <c r="H43" s="18">
        <f>H41/122*22</f>
        <v>8523510.2916393448</v>
      </c>
      <c r="I43" s="1"/>
    </row>
    <row r="44" spans="1:9" x14ac:dyDescent="0.3">
      <c r="G44" s="19" t="s">
        <v>19</v>
      </c>
      <c r="H44" s="20">
        <f>H41</f>
        <v>47266738.890000001</v>
      </c>
    </row>
    <row r="45" spans="1:9" x14ac:dyDescent="0.3">
      <c r="G45" s="27" t="s">
        <v>21</v>
      </c>
      <c r="H45" s="20">
        <v>230000</v>
      </c>
    </row>
    <row r="48" spans="1:9" ht="15.6" x14ac:dyDescent="0.3">
      <c r="B48" s="71" t="s">
        <v>14</v>
      </c>
      <c r="C48" s="71"/>
      <c r="D48" s="71"/>
      <c r="E48" s="71"/>
      <c r="F48" s="71"/>
      <c r="G48" s="71"/>
      <c r="H48" s="71"/>
    </row>
    <row r="50" spans="2:8" ht="18" x14ac:dyDescent="0.3">
      <c r="B50" s="98" t="s">
        <v>23</v>
      </c>
      <c r="C50" s="98"/>
      <c r="D50" s="98"/>
      <c r="E50" s="98"/>
      <c r="F50" s="98"/>
      <c r="G50" s="98"/>
      <c r="H50" s="98"/>
    </row>
    <row r="51" spans="2:8" ht="27.6" x14ac:dyDescent="0.3">
      <c r="B51" s="23" t="s">
        <v>4</v>
      </c>
      <c r="C51" s="24" t="s">
        <v>15</v>
      </c>
      <c r="D51" s="23" t="s">
        <v>24</v>
      </c>
      <c r="E51" s="23" t="s">
        <v>12</v>
      </c>
      <c r="F51" s="23" t="s">
        <v>6</v>
      </c>
      <c r="G51" s="23" t="s">
        <v>25</v>
      </c>
      <c r="H51" s="23" t="s">
        <v>8</v>
      </c>
    </row>
    <row r="52" spans="2:8" x14ac:dyDescent="0.3">
      <c r="B52" s="96" t="s">
        <v>46</v>
      </c>
      <c r="C52" s="96"/>
      <c r="D52" s="96"/>
      <c r="E52" s="96"/>
      <c r="F52" s="96"/>
      <c r="G52" s="96"/>
      <c r="H52" s="96"/>
    </row>
    <row r="53" spans="2:8" ht="41.4" x14ac:dyDescent="0.3">
      <c r="B53" s="25">
        <v>1</v>
      </c>
      <c r="C53" s="29" t="s">
        <v>47</v>
      </c>
      <c r="D53" s="15" t="s">
        <v>16</v>
      </c>
      <c r="E53" s="16">
        <v>1</v>
      </c>
      <c r="F53" s="42">
        <f>F7</f>
        <v>13374.7</v>
      </c>
      <c r="G53" s="16">
        <v>80</v>
      </c>
      <c r="H53" s="30">
        <f>F53*G53</f>
        <v>1069976</v>
      </c>
    </row>
    <row r="54" spans="2:8" x14ac:dyDescent="0.3">
      <c r="B54" s="97" t="s">
        <v>26</v>
      </c>
      <c r="C54" s="97"/>
      <c r="D54" s="97"/>
      <c r="E54" s="97"/>
      <c r="F54" s="97"/>
      <c r="G54" s="97"/>
      <c r="H54" s="31">
        <f>SUM(H53:H53)</f>
        <v>1069976</v>
      </c>
    </row>
    <row r="55" spans="2:8" x14ac:dyDescent="0.3">
      <c r="B55" s="97" t="s">
        <v>27</v>
      </c>
      <c r="C55" s="97"/>
      <c r="D55" s="97"/>
      <c r="E55" s="97"/>
      <c r="F55" s="97"/>
      <c r="G55" s="97"/>
      <c r="H55" s="32">
        <f>H54/F7</f>
        <v>80</v>
      </c>
    </row>
    <row r="56" spans="2:8" x14ac:dyDescent="0.3">
      <c r="G56" s="6" t="s">
        <v>34</v>
      </c>
      <c r="H56" s="18">
        <f>H54*0.22</f>
        <v>235394.72</v>
      </c>
    </row>
    <row r="57" spans="2:8" x14ac:dyDescent="0.3">
      <c r="G57" s="19" t="s">
        <v>19</v>
      </c>
      <c r="H57" s="20">
        <f>H54+H56</f>
        <v>1305370.72</v>
      </c>
    </row>
  </sheetData>
  <mergeCells count="23">
    <mergeCell ref="B15:C15"/>
    <mergeCell ref="B16:C16"/>
    <mergeCell ref="B52:H52"/>
    <mergeCell ref="B54:G54"/>
    <mergeCell ref="B55:G55"/>
    <mergeCell ref="B50:H50"/>
    <mergeCell ref="B31:C31"/>
    <mergeCell ref="B2:H2"/>
    <mergeCell ref="B48:H48"/>
    <mergeCell ref="B4:H4"/>
    <mergeCell ref="B5:H5"/>
    <mergeCell ref="B41:G41"/>
    <mergeCell ref="F7:H7"/>
    <mergeCell ref="F8:H8"/>
    <mergeCell ref="F9:H9"/>
    <mergeCell ref="B11:H11"/>
    <mergeCell ref="B43:D43"/>
    <mergeCell ref="B13:H13"/>
    <mergeCell ref="B42:G42"/>
    <mergeCell ref="B25:C25"/>
    <mergeCell ref="B9:C9"/>
    <mergeCell ref="B32:C32"/>
    <mergeCell ref="B37:C37"/>
  </mergeCells>
  <phoneticPr fontId="18" type="noConversion"/>
  <pageMargins left="0.7" right="0.7" top="0.75" bottom="0.75" header="0.3" footer="0.3"/>
  <pageSetup paperSize="9"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2026-09-07T11:43:32Z</cp:lastPrinted>
  <dcterms:created xsi:type="dcterms:W3CDTF">2018-06-13T10:11:23Z</dcterms:created>
  <dcterms:modified xsi:type="dcterms:W3CDTF">2026-09-07T11:44:17Z</dcterms:modified>
</cp:coreProperties>
</file>